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structures\wall_4W18\design\estimated quantities\"/>
    </mc:Choice>
  </mc:AlternateContent>
  <xr:revisionPtr revIDLastSave="0" documentId="13_ncr:1_{1885A5E7-2977-41B4-B431-23CBECBCCCF5}" xr6:coauthVersionLast="47" xr6:coauthVersionMax="47" xr10:uidLastSave="{00000000-0000-0000-0000-000000000000}"/>
  <bookViews>
    <workbookView xWindow="28680" yWindow="-120" windowWidth="29040" windowHeight="15720" activeTab="1" xr2:uid="{00000000-000D-0000-FFFF-FFFF00000000}"/>
  </bookViews>
  <sheets>
    <sheet name="4W18" sheetId="5" r:id="rId1"/>
    <sheet name="AutoTable" sheetId="2" r:id="rId2"/>
  </sheets>
  <externalReferences>
    <externalReference r:id="rId3"/>
    <externalReference r:id="rId4"/>
  </externalReferences>
  <definedNames>
    <definedName name="_xlnm.Print_Area" localSheetId="0">'4W18'!$A$1:$J$157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0" i="2" l="1"/>
  <c r="E30" i="2" s="1"/>
  <c r="A153" i="5"/>
  <c r="E157" i="5"/>
  <c r="H28" i="2"/>
  <c r="D110" i="5"/>
  <c r="D111" i="5"/>
  <c r="K5" i="2" l="1"/>
  <c r="K4" i="2"/>
  <c r="D30" i="5" l="1"/>
  <c r="D127" i="5"/>
  <c r="E129" i="5" s="1"/>
  <c r="D23" i="2" s="1"/>
  <c r="E23" i="2" s="1"/>
  <c r="A122" i="5"/>
  <c r="B7" i="5" l="1"/>
  <c r="D98" i="5"/>
  <c r="D84" i="5"/>
  <c r="D79" i="5"/>
  <c r="D24" i="5"/>
  <c r="D23" i="5"/>
  <c r="D22" i="5"/>
  <c r="A9" i="5"/>
  <c r="A28" i="5"/>
  <c r="A34" i="5"/>
  <c r="A42" i="5"/>
  <c r="A51" i="5"/>
  <c r="A62" i="5"/>
  <c r="A70" i="5"/>
  <c r="A76" i="5"/>
  <c r="A93" i="5"/>
  <c r="A103" i="5"/>
  <c r="A115" i="5"/>
  <c r="A131" i="5"/>
  <c r="A140" i="5"/>
  <c r="A146" i="5"/>
  <c r="A5" i="5"/>
  <c r="E91" i="5" l="1"/>
  <c r="D16" i="2" s="1"/>
  <c r="E16" i="2" s="1"/>
  <c r="E26" i="5"/>
  <c r="D6" i="2" s="1"/>
  <c r="E6" i="2" s="1"/>
  <c r="H24" i="2"/>
  <c r="H26" i="2"/>
  <c r="H12" i="2"/>
  <c r="H6" i="2"/>
  <c r="H15" i="2"/>
  <c r="H14" i="2"/>
  <c r="H10" i="2"/>
  <c r="D148" i="5" l="1"/>
  <c r="E151" i="5" s="1"/>
  <c r="D28" i="2" s="1"/>
  <c r="E28" i="2" s="1"/>
  <c r="E144" i="5"/>
  <c r="D26" i="2" s="1"/>
  <c r="E26" i="2" s="1"/>
  <c r="D136" i="5"/>
  <c r="E138" i="5" s="1"/>
  <c r="D24" i="2" s="1"/>
  <c r="E24" i="2" s="1"/>
  <c r="D108" i="5"/>
  <c r="D57" i="5"/>
  <c r="D58" i="5" s="1"/>
  <c r="H2" i="2" l="1"/>
  <c r="E60" i="5" l="1"/>
  <c r="D12" i="2" s="1"/>
  <c r="E12" i="2" s="1"/>
  <c r="D107" i="5"/>
  <c r="E113" i="5" l="1"/>
  <c r="D20" i="2" s="1"/>
  <c r="E20" i="2" s="1"/>
  <c r="D65" i="5"/>
  <c r="E67" i="5" s="1"/>
  <c r="D14" i="2" s="1"/>
  <c r="E14" i="2" s="1"/>
  <c r="D46" i="5"/>
  <c r="D47" i="5" s="1"/>
  <c r="E49" i="5" s="1"/>
  <c r="D11" i="2" s="1"/>
  <c r="E11" i="2" s="1"/>
  <c r="E120" i="5"/>
  <c r="D21" i="2" s="1"/>
  <c r="E21" i="2" s="1"/>
  <c r="D38" i="5"/>
  <c r="E40" i="5" s="1"/>
  <c r="D10" i="2" s="1"/>
  <c r="E10" i="2" s="1"/>
  <c r="E32" i="5" l="1"/>
  <c r="D8" i="2" s="1"/>
  <c r="E8" i="2" s="1"/>
  <c r="D97" i="5" l="1"/>
  <c r="E101" i="5" s="1"/>
  <c r="D18" i="2" s="1"/>
  <c r="E18" i="2" s="1"/>
  <c r="E74" i="5"/>
  <c r="D15" i="2" s="1"/>
  <c r="E15" i="2" s="1"/>
</calcChain>
</file>

<file path=xl/sharedStrings.xml><?xml version="1.0" encoding="utf-8"?>
<sst xmlns="http://schemas.openxmlformats.org/spreadsheetml/2006/main" count="216" uniqueCount="116">
  <si>
    <t>ITEM</t>
  </si>
  <si>
    <t>EXT.</t>
  </si>
  <si>
    <t>TOTAL</t>
  </si>
  <si>
    <t>UNITS</t>
  </si>
  <si>
    <t>DESCRIPTION</t>
  </si>
  <si>
    <t>CY</t>
  </si>
  <si>
    <t>SF</t>
  </si>
  <si>
    <t>LB</t>
  </si>
  <si>
    <t>EPOXY COATED REINFORCING STEEL</t>
  </si>
  <si>
    <t>SY</t>
  </si>
  <si>
    <t>FT</t>
  </si>
  <si>
    <t>SPECIAL</t>
  </si>
  <si>
    <t>POROUS BACKFILL WITH GEOTEXTILE FABRIC</t>
  </si>
  <si>
    <t>CLASS QC1 CONCRETE WITH QC/QA, FOOTING</t>
  </si>
  <si>
    <t>1" PREFORMED EXPANSION JOINT FILLER</t>
  </si>
  <si>
    <t>6" PERFORATED CORRUGATED PLASTIC PIPE</t>
  </si>
  <si>
    <t>Project:</t>
  </si>
  <si>
    <t>Design:</t>
  </si>
  <si>
    <t>Subject:</t>
  </si>
  <si>
    <t>Check:</t>
  </si>
  <si>
    <t>Date:</t>
  </si>
  <si>
    <t>ft</t>
  </si>
  <si>
    <t xml:space="preserve">Total = </t>
  </si>
  <si>
    <t>cy</t>
  </si>
  <si>
    <t>lbs</t>
  </si>
  <si>
    <t>Total =</t>
  </si>
  <si>
    <t xml:space="preserve">area = </t>
  </si>
  <si>
    <t>sf</t>
  </si>
  <si>
    <t xml:space="preserve">length = </t>
  </si>
  <si>
    <t xml:space="preserve">height = </t>
  </si>
  <si>
    <t>cf</t>
  </si>
  <si>
    <t>sy</t>
  </si>
  <si>
    <t xml:space="preserve"> </t>
  </si>
  <si>
    <t xml:space="preserve">subtract = </t>
  </si>
  <si>
    <t>façade panel ftg</t>
  </si>
  <si>
    <t xml:space="preserve">face area = </t>
  </si>
  <si>
    <t xml:space="preserve">face area 1 = </t>
  </si>
  <si>
    <t>STRUCTURES: PRECAST FACADE PANELS</t>
  </si>
  <si>
    <t>length =</t>
  </si>
  <si>
    <t>Knee Wall</t>
  </si>
  <si>
    <t xml:space="preserve">backside perimeter = </t>
  </si>
  <si>
    <t>knee wall area  =</t>
  </si>
  <si>
    <t xml:space="preserve">total length = </t>
  </si>
  <si>
    <t>CLASS QC2 CONCRETE WTH QC/QA, BRIDGE DECK (PARAPET), AS PER PLAN</t>
  </si>
  <si>
    <t>MOJ</t>
  </si>
  <si>
    <t xml:space="preserve">turned up height = </t>
  </si>
  <si>
    <t>TYPE 2 WATERPROOFING</t>
  </si>
  <si>
    <t>DRILLED SHAFTS, 42" DIAMETER, ABOVE BEDROCK WITH QC/QA, AS PER PLAN</t>
  </si>
  <si>
    <t>number of runs =</t>
  </si>
  <si>
    <t>each</t>
  </si>
  <si>
    <t>add'l vol for jog =</t>
  </si>
  <si>
    <t>width =</t>
  </si>
  <si>
    <t>number =</t>
  </si>
  <si>
    <t>height =</t>
  </si>
  <si>
    <t>PARTICIPATION</t>
  </si>
  <si>
    <t>WALL 4W18</t>
  </si>
  <si>
    <t>thickness =</t>
  </si>
  <si>
    <t>top elevation =</t>
  </si>
  <si>
    <t>bottom elevation =</t>
  </si>
  <si>
    <t>extra length on 7W5 =</t>
  </si>
  <si>
    <t>wall length =</t>
  </si>
  <si>
    <t>CLASS QC1 CONCRETE, MISC.: DRILLED SHAFT CAP</t>
  </si>
  <si>
    <t>UNCLASSIFIED EXCAVATION, AS PER PLAN</t>
  </si>
  <si>
    <t>COFFERDAMS AND EXCAVATION BRACING</t>
  </si>
  <si>
    <t>LS</t>
  </si>
  <si>
    <t>Lump Sum</t>
  </si>
  <si>
    <t>Avg. exist ground el. =</t>
  </si>
  <si>
    <t>B/ DS cap el. =</t>
  </si>
  <si>
    <t>B/ footing el. =</t>
  </si>
  <si>
    <t>Wall length =</t>
  </si>
  <si>
    <t>Microstation plan area</t>
  </si>
  <si>
    <t>Face wall to back of p.b. =</t>
  </si>
  <si>
    <t>Area btwn. face wall to DS =</t>
  </si>
  <si>
    <t>Avg. b/ roadway excavation el. =</t>
  </si>
  <si>
    <t>Vol. above t/ DSs =</t>
  </si>
  <si>
    <t>Vol. for front footing =</t>
  </si>
  <si>
    <t>Vol. btwn. face wall to DSs =</t>
  </si>
  <si>
    <t>plus 1'-0"</t>
  </si>
  <si>
    <t>Area 1</t>
  </si>
  <si>
    <t>Area 2</t>
  </si>
  <si>
    <t>Area 3</t>
  </si>
  <si>
    <t>Bot. of 6" ag. subgrade</t>
  </si>
  <si>
    <t>Excavation not quantified here is quantified with roadway quantities.</t>
  </si>
  <si>
    <t>section area =</t>
  </si>
  <si>
    <t>parapet length =</t>
  </si>
  <si>
    <t>volume =</t>
  </si>
  <si>
    <t>cap height (avg) =</t>
  </si>
  <si>
    <t>cap depth =</t>
  </si>
  <si>
    <t>stem wall height (avg) =</t>
  </si>
  <si>
    <t>stem depth =</t>
  </si>
  <si>
    <t>Microstation area of ftg, including area btwn. DSs</t>
  </si>
  <si>
    <t>Microstation area: top of barrier to top of wall</t>
  </si>
  <si>
    <t>Top and city street side of knee wall + top of wall</t>
  </si>
  <si>
    <t>Area above drilled shaft cap</t>
  </si>
  <si>
    <t>Centered over P.E.J.F. at begin wall</t>
  </si>
  <si>
    <t>Centered over P.E.J.F. at end wall</t>
  </si>
  <si>
    <t>horiz. and vert., combined length</t>
  </si>
  <si>
    <t>begin wall stem/DS area =</t>
  </si>
  <si>
    <t>end wall stem/DS area =</t>
  </si>
  <si>
    <t>P.E.J.F. adjacent to precast façade panels included with panel item.</t>
  </si>
  <si>
    <t>adjacent to exist. Wall 7W5</t>
  </si>
  <si>
    <t>adjacent to FRA-23-1075C frwd. abut. west cap</t>
  </si>
  <si>
    <t>FENCE, MISC.: WALL MOUNTED TYPE A (W/O VANDAL MESH)</t>
  </si>
  <si>
    <t>from additional survey</t>
  </si>
  <si>
    <t>SEALING OF CONCRETE SURFACES (NON-EPOXY)</t>
  </si>
  <si>
    <t>SEALING OF CONCRETE SURFACES (EPOXY-URETHANE)</t>
  </si>
  <si>
    <t>DRILLED SHAFTS, 30" DIAMETER, ABOVE BEDROCK WITH QC/QA</t>
  </si>
  <si>
    <t>%</t>
  </si>
  <si>
    <t>Face wall to front of p.b. =</t>
  </si>
  <si>
    <t>front area =</t>
  </si>
  <si>
    <t>TJW</t>
  </si>
  <si>
    <t>EACH</t>
  </si>
  <si>
    <t>THERMAL INTEGRITY PROFILING (TIP) TEST</t>
  </si>
  <si>
    <t>ea</t>
  </si>
  <si>
    <t>Estimated Quantities - Final Tracings</t>
  </si>
  <si>
    <t>01/IMS/04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</si>
</sst>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m/d/yy;@"/>
    <numFmt numFmtId="165" formatCode="0.000"/>
    <numFmt numFmtId="166" formatCode="&quot;$&quot;#,##0.00"/>
  </numFmts>
  <fonts count="1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color indexed="12"/>
      <name val="Arial"/>
      <family val="2"/>
    </font>
    <font>
      <b/>
      <sz val="10"/>
      <color indexed="12"/>
      <name val="Arial"/>
      <family val="2"/>
    </font>
    <font>
      <sz val="11"/>
      <name val="Calibri"/>
      <family val="2"/>
      <scheme val="minor"/>
    </font>
    <font>
      <b/>
      <sz val="10"/>
      <color rgb="FF0000FF"/>
      <name val="Arial"/>
      <family val="2"/>
    </font>
    <font>
      <b/>
      <sz val="11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indent="1"/>
    </xf>
    <xf numFmtId="3" fontId="1" fillId="0" borderId="4" xfId="0" applyNumberFormat="1" applyFont="1" applyBorder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3" fontId="5" fillId="0" borderId="0" xfId="0" applyNumberFormat="1" applyFont="1"/>
    <xf numFmtId="0" fontId="6" fillId="0" borderId="0" xfId="0" applyFont="1"/>
    <xf numFmtId="4" fontId="0" fillId="2" borderId="0" xfId="0" applyNumberFormat="1" applyFill="1" applyAlignment="1">
      <alignment horizontal="right"/>
    </xf>
    <xf numFmtId="4" fontId="0" fillId="0" borderId="0" xfId="0" applyNumberFormat="1"/>
    <xf numFmtId="0" fontId="7" fillId="0" borderId="0" xfId="0" applyFont="1"/>
    <xf numFmtId="165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9" xfId="0" applyBorder="1" applyAlignment="1">
      <alignment horizontal="right"/>
    </xf>
    <xf numFmtId="4" fontId="0" fillId="0" borderId="9" xfId="0" applyNumberFormat="1" applyBorder="1" applyAlignment="1">
      <alignment horizontal="right"/>
    </xf>
    <xf numFmtId="0" fontId="0" fillId="0" borderId="9" xfId="0" applyBorder="1"/>
    <xf numFmtId="4" fontId="0" fillId="2" borderId="9" xfId="0" applyNumberFormat="1" applyFill="1" applyBorder="1" applyAlignment="1">
      <alignment horizontal="right"/>
    </xf>
    <xf numFmtId="0" fontId="0" fillId="2" borderId="9" xfId="0" applyFill="1" applyBorder="1"/>
    <xf numFmtId="4" fontId="0" fillId="2" borderId="0" xfId="0" applyNumberFormat="1" applyFill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3" fontId="0" fillId="0" borderId="0" xfId="0" applyNumberFormat="1"/>
    <xf numFmtId="3" fontId="0" fillId="0" borderId="0" xfId="0" applyNumberFormat="1" applyAlignment="1">
      <alignment horizontal="right"/>
    </xf>
    <xf numFmtId="2" fontId="0" fillId="2" borderId="0" xfId="0" applyNumberFormat="1" applyFill="1"/>
    <xf numFmtId="166" fontId="0" fillId="0" borderId="0" xfId="0" applyNumberFormat="1"/>
    <xf numFmtId="0" fontId="8" fillId="0" borderId="0" xfId="0" applyFont="1"/>
    <xf numFmtId="9" fontId="1" fillId="2" borderId="4" xfId="0" applyNumberFormat="1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3" fontId="1" fillId="0" borderId="16" xfId="0" applyNumberFormat="1" applyFont="1" applyBorder="1" applyAlignment="1">
      <alignment horizontal="center" vertical="center"/>
    </xf>
    <xf numFmtId="0" fontId="1" fillId="0" borderId="16" xfId="0" applyFont="1" applyBorder="1" applyAlignment="1">
      <alignment horizontal="left" vertical="center" indent="1"/>
    </xf>
    <xf numFmtId="0" fontId="1" fillId="0" borderId="8" xfId="0" applyFont="1" applyBorder="1" applyAlignment="1">
      <alignment horizontal="center" vertical="center"/>
    </xf>
    <xf numFmtId="166" fontId="9" fillId="0" borderId="0" xfId="0" applyNumberFormat="1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0C7E2"/>
      <color rgb="FFFFFFCC"/>
      <color rgb="FF00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361950</xdr:colOff>
      <xdr:row>7</xdr:row>
      <xdr:rowOff>190468</xdr:rowOff>
    </xdr:from>
    <xdr:to>
      <xdr:col>9</xdr:col>
      <xdr:colOff>533399</xdr:colOff>
      <xdr:row>26</xdr:row>
      <xdr:rowOff>35458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29150" y="1523968"/>
          <a:ext cx="1390649" cy="346449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structures/wall_4W18/spreadsheets/Wall%204W18%20Rebar%20Table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admin/spreadsheets/96053_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Bar Data"/>
      <sheetName val="Bar Types"/>
      <sheetName val="For AutoCAD Linking"/>
      <sheetName val="Wall 4W18 Rebar Table"/>
    </sheetNames>
    <definedNames>
      <definedName name="TotalWeight" refersTo="='Main'!$J$5"/>
    </definedNames>
    <sheetDataSet>
      <sheetData sheetId="0">
        <row r="5">
          <cell r="J5">
            <v>3256</v>
          </cell>
        </row>
      </sheetData>
      <sheetData sheetId="1"/>
      <sheetData sheetId="2"/>
      <sheetData sheetId="3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DD Sheets"/>
      <sheetName val="Sorted"/>
      <sheetName val="Directions"/>
    </sheetNames>
    <sheetDataSet>
      <sheetData sheetId="0">
        <row r="1888">
          <cell r="A1888">
            <v>301</v>
          </cell>
        </row>
        <row r="1894">
          <cell r="A1894">
            <v>304</v>
          </cell>
        </row>
        <row r="1896">
          <cell r="A1896">
            <v>305</v>
          </cell>
        </row>
        <row r="3626">
          <cell r="A3626">
            <v>693</v>
          </cell>
        </row>
        <row r="4101">
          <cell r="A4101">
            <v>855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7"/>
  <sheetViews>
    <sheetView view="pageBreakPreview" topLeftCell="A145" zoomScaleNormal="100" zoomScaleSheetLayoutView="100" workbookViewId="0">
      <selection activeCell="H165" sqref="H165"/>
    </sheetView>
  </sheetViews>
  <sheetFormatPr defaultRowHeight="15" x14ac:dyDescent="0.25"/>
  <cols>
    <col min="2" max="2" width="9.140625" customWidth="1"/>
  </cols>
  <sheetData>
    <row r="1" spans="1:7" x14ac:dyDescent="0.25">
      <c r="A1" s="4" t="s">
        <v>16</v>
      </c>
      <c r="B1" s="5" t="s">
        <v>55</v>
      </c>
      <c r="C1" s="4"/>
      <c r="D1" s="6"/>
      <c r="F1" s="6" t="s">
        <v>17</v>
      </c>
      <c r="G1" s="6" t="s">
        <v>44</v>
      </c>
    </row>
    <row r="2" spans="1:7" x14ac:dyDescent="0.25">
      <c r="A2" t="s">
        <v>18</v>
      </c>
      <c r="B2" s="7" t="s">
        <v>114</v>
      </c>
      <c r="F2" s="6" t="s">
        <v>19</v>
      </c>
      <c r="G2" t="s">
        <v>110</v>
      </c>
    </row>
    <row r="3" spans="1:7" x14ac:dyDescent="0.25">
      <c r="A3" s="6" t="s">
        <v>20</v>
      </c>
      <c r="B3" s="8">
        <v>44753</v>
      </c>
    </row>
    <row r="5" spans="1:7" x14ac:dyDescent="0.25">
      <c r="A5" s="21" t="str">
        <f>"ITEM "&amp;AutoTable!B5&amp;" - "&amp;AutoTable!G5</f>
        <v>ITEM 503 - COFFERDAMS AND EXCAVATION BRACING</v>
      </c>
    </row>
    <row r="6" spans="1:7" x14ac:dyDescent="0.25">
      <c r="C6" s="34"/>
    </row>
    <row r="7" spans="1:7" x14ac:dyDescent="0.25">
      <c r="B7" s="53">
        <f>ROUND(42*8*3*15,-3)</f>
        <v>15000</v>
      </c>
      <c r="C7" s="53"/>
      <c r="D7" s="35" t="s">
        <v>65</v>
      </c>
    </row>
    <row r="9" spans="1:7" x14ac:dyDescent="0.25">
      <c r="A9" s="21" t="str">
        <f>"ITEM "&amp;AutoTable!B6&amp;" - "&amp;AutoTable!G6</f>
        <v>ITEM 503 - UNCLASSIFIED EXCAVATION, AS PER PLAN</v>
      </c>
    </row>
    <row r="11" spans="1:7" x14ac:dyDescent="0.25">
      <c r="A11" t="s">
        <v>82</v>
      </c>
    </row>
    <row r="13" spans="1:7" x14ac:dyDescent="0.25">
      <c r="B13" s="10"/>
      <c r="C13" s="19" t="s">
        <v>66</v>
      </c>
      <c r="D13" s="14">
        <v>751.5</v>
      </c>
      <c r="E13" s="6"/>
    </row>
    <row r="14" spans="1:7" x14ac:dyDescent="0.25">
      <c r="B14" s="10"/>
      <c r="C14" s="19" t="s">
        <v>67</v>
      </c>
      <c r="D14" s="14">
        <v>744.76</v>
      </c>
      <c r="E14" s="6"/>
    </row>
    <row r="15" spans="1:7" x14ac:dyDescent="0.25">
      <c r="B15" s="10"/>
      <c r="C15" s="19" t="s">
        <v>73</v>
      </c>
      <c r="D15" s="14">
        <v>729.78</v>
      </c>
      <c r="E15" s="6"/>
      <c r="F15" s="15" t="s">
        <v>81</v>
      </c>
    </row>
    <row r="16" spans="1:7" x14ac:dyDescent="0.25">
      <c r="B16" s="10"/>
      <c r="C16" s="19" t="s">
        <v>68</v>
      </c>
      <c r="D16" s="14">
        <v>725.5</v>
      </c>
      <c r="E16" s="6"/>
    </row>
    <row r="17" spans="1:6" x14ac:dyDescent="0.25">
      <c r="B17" s="10"/>
      <c r="C17" s="19" t="s">
        <v>71</v>
      </c>
      <c r="D17" s="14">
        <v>8</v>
      </c>
      <c r="E17" s="6" t="s">
        <v>21</v>
      </c>
      <c r="F17" t="s">
        <v>77</v>
      </c>
    </row>
    <row r="18" spans="1:6" x14ac:dyDescent="0.25">
      <c r="B18" s="10"/>
      <c r="C18" s="19" t="s">
        <v>108</v>
      </c>
      <c r="D18" s="14">
        <v>1.67</v>
      </c>
      <c r="E18" s="6" t="s">
        <v>21</v>
      </c>
      <c r="F18" t="s">
        <v>77</v>
      </c>
    </row>
    <row r="19" spans="1:6" x14ac:dyDescent="0.25">
      <c r="B19" s="10"/>
      <c r="C19" s="19" t="s">
        <v>69</v>
      </c>
      <c r="D19" s="14">
        <v>33.94</v>
      </c>
      <c r="E19" s="6" t="s">
        <v>21</v>
      </c>
    </row>
    <row r="20" spans="1:6" x14ac:dyDescent="0.25">
      <c r="B20" s="10"/>
      <c r="C20" s="19" t="s">
        <v>72</v>
      </c>
      <c r="D20" s="14">
        <v>67.27</v>
      </c>
      <c r="E20" s="6" t="s">
        <v>27</v>
      </c>
      <c r="F20" t="s">
        <v>70</v>
      </c>
    </row>
    <row r="21" spans="1:6" x14ac:dyDescent="0.25">
      <c r="B21" s="10"/>
      <c r="C21" s="19"/>
      <c r="D21" s="17"/>
      <c r="E21" s="6"/>
    </row>
    <row r="22" spans="1:6" x14ac:dyDescent="0.25">
      <c r="C22" s="19" t="s">
        <v>74</v>
      </c>
      <c r="D22" s="31">
        <f>(D13-D14)*D17*D19</f>
        <v>1830.0448000000024</v>
      </c>
      <c r="E22" s="6" t="s">
        <v>30</v>
      </c>
      <c r="F22" t="s">
        <v>78</v>
      </c>
    </row>
    <row r="23" spans="1:6" x14ac:dyDescent="0.25">
      <c r="C23" s="19" t="s">
        <v>76</v>
      </c>
      <c r="D23" s="31">
        <f>(D14-D16)*D20</f>
        <v>1295.6201999999994</v>
      </c>
      <c r="E23" s="6" t="s">
        <v>30</v>
      </c>
      <c r="F23" t="s">
        <v>79</v>
      </c>
    </row>
    <row r="24" spans="1:6" x14ac:dyDescent="0.25">
      <c r="C24" s="19" t="s">
        <v>75</v>
      </c>
      <c r="D24" s="31">
        <f>(D15-D16)*D18*D19</f>
        <v>242.58954399999843</v>
      </c>
      <c r="E24" s="6" t="s">
        <v>30</v>
      </c>
      <c r="F24" t="s">
        <v>80</v>
      </c>
    </row>
    <row r="25" spans="1:6" x14ac:dyDescent="0.25">
      <c r="B25" s="10"/>
      <c r="E25" s="6"/>
    </row>
    <row r="26" spans="1:6" x14ac:dyDescent="0.25">
      <c r="D26" s="9" t="s">
        <v>22</v>
      </c>
      <c r="E26" s="12">
        <f>ROUNDUP((D22+D23+D24)/27,0)</f>
        <v>125</v>
      </c>
      <c r="F26" s="13" t="s">
        <v>23</v>
      </c>
    </row>
    <row r="28" spans="1:6" x14ac:dyDescent="0.25">
      <c r="A28" s="21" t="str">
        <f>"ITEM "&amp;AutoTable!B8&amp;" - "&amp;AutoTable!G8</f>
        <v>ITEM 509 - EPOXY COATED REINFORCING STEEL</v>
      </c>
      <c r="C28" s="16"/>
      <c r="D28" s="9"/>
      <c r="E28" s="22"/>
    </row>
    <row r="30" spans="1:6" x14ac:dyDescent="0.25">
      <c r="B30" s="7"/>
      <c r="D30" s="32">
        <f>[1]!TotalWeight</f>
        <v>3256</v>
      </c>
      <c r="E30" s="6" t="s">
        <v>24</v>
      </c>
    </row>
    <row r="32" spans="1:6" x14ac:dyDescent="0.25">
      <c r="D32" s="9" t="s">
        <v>25</v>
      </c>
      <c r="E32" s="12">
        <f>SUM(D30)</f>
        <v>3256</v>
      </c>
      <c r="F32" s="13" t="s">
        <v>24</v>
      </c>
    </row>
    <row r="33" spans="1:6" x14ac:dyDescent="0.25">
      <c r="A33" s="21"/>
    </row>
    <row r="34" spans="1:6" x14ac:dyDescent="0.25">
      <c r="A34" s="21" t="str">
        <f>"ITEM "&amp;AutoTable!B10&amp;" - "&amp;AutoTable!G10</f>
        <v>ITEM 511 - CLASS QC2 CONCRETE WTH QC/QA, BRIDGE DECK (PARAPET), AS PER PLAN</v>
      </c>
    </row>
    <row r="35" spans="1:6" x14ac:dyDescent="0.25">
      <c r="A35" s="21"/>
    </row>
    <row r="36" spans="1:6" x14ac:dyDescent="0.25">
      <c r="A36" t="s">
        <v>39</v>
      </c>
      <c r="C36" s="19" t="s">
        <v>83</v>
      </c>
      <c r="D36" s="14">
        <v>2.95</v>
      </c>
      <c r="E36" t="s">
        <v>27</v>
      </c>
    </row>
    <row r="37" spans="1:6" x14ac:dyDescent="0.25">
      <c r="B37" s="25"/>
      <c r="C37" s="23" t="s">
        <v>84</v>
      </c>
      <c r="D37" s="26">
        <v>33.770000000000003</v>
      </c>
      <c r="E37" s="25" t="s">
        <v>21</v>
      </c>
    </row>
    <row r="38" spans="1:6" x14ac:dyDescent="0.25">
      <c r="C38" s="19" t="s">
        <v>85</v>
      </c>
      <c r="D38" s="32">
        <f>D36*D37</f>
        <v>99.621500000000012</v>
      </c>
      <c r="E38" t="s">
        <v>30</v>
      </c>
    </row>
    <row r="39" spans="1:6" x14ac:dyDescent="0.25">
      <c r="D39" s="18"/>
    </row>
    <row r="40" spans="1:6" x14ac:dyDescent="0.25">
      <c r="D40" s="9" t="s">
        <v>25</v>
      </c>
      <c r="E40" s="12">
        <f>ROUNDUP((D38)/27,0)</f>
        <v>4</v>
      </c>
      <c r="F40" s="13" t="s">
        <v>23</v>
      </c>
    </row>
    <row r="42" spans="1:6" x14ac:dyDescent="0.25">
      <c r="A42" s="21" t="str">
        <f>"ITEM "&amp;AutoTable!B11&amp;" - "&amp;AutoTable!G11</f>
        <v>ITEM 511 - CLASS QC1 CONCRETE WITH QC/QA, FOOTING</v>
      </c>
    </row>
    <row r="43" spans="1:6" x14ac:dyDescent="0.25">
      <c r="A43" s="21"/>
    </row>
    <row r="44" spans="1:6" x14ac:dyDescent="0.25">
      <c r="A44" t="s">
        <v>34</v>
      </c>
      <c r="C44" s="19" t="s">
        <v>26</v>
      </c>
      <c r="D44" s="14">
        <v>89.78</v>
      </c>
      <c r="E44" t="s">
        <v>27</v>
      </c>
      <c r="F44" t="s">
        <v>90</v>
      </c>
    </row>
    <row r="45" spans="1:6" x14ac:dyDescent="0.25">
      <c r="C45" s="19" t="s">
        <v>29</v>
      </c>
      <c r="D45" s="14">
        <v>2.5</v>
      </c>
      <c r="E45" t="s">
        <v>21</v>
      </c>
    </row>
    <row r="46" spans="1:6" x14ac:dyDescent="0.25">
      <c r="A46" s="21"/>
      <c r="C46" s="23" t="s">
        <v>33</v>
      </c>
      <c r="D46" s="26">
        <f>19.25/12*0.5*D37</f>
        <v>27.08635416666667</v>
      </c>
      <c r="E46" s="25" t="s">
        <v>30</v>
      </c>
    </row>
    <row r="47" spans="1:6" x14ac:dyDescent="0.25">
      <c r="A47" s="21"/>
      <c r="C47" s="19" t="s">
        <v>85</v>
      </c>
      <c r="D47" s="32">
        <f>D44*D45-D46</f>
        <v>197.36364583333332</v>
      </c>
      <c r="E47" t="s">
        <v>30</v>
      </c>
    </row>
    <row r="48" spans="1:6" x14ac:dyDescent="0.25">
      <c r="A48" s="21"/>
    </row>
    <row r="49" spans="1:7" x14ac:dyDescent="0.25">
      <c r="A49" s="21"/>
      <c r="D49" s="9" t="s">
        <v>25</v>
      </c>
      <c r="E49" s="12">
        <f>ROUNDUP((D47)/27,0)</f>
        <v>8</v>
      </c>
      <c r="F49" s="13" t="s">
        <v>23</v>
      </c>
    </row>
    <row r="50" spans="1:7" x14ac:dyDescent="0.25">
      <c r="A50" s="21"/>
      <c r="D50" s="9"/>
      <c r="E50" s="12"/>
      <c r="F50" s="13"/>
    </row>
    <row r="51" spans="1:7" x14ac:dyDescent="0.25">
      <c r="A51" s="21" t="str">
        <f>"ITEM "&amp;AutoTable!B12&amp;" - "&amp;AutoTable!G12</f>
        <v>ITEM 511 - CLASS QC1 CONCRETE, MISC.: DRILLED SHAFT CAP</v>
      </c>
      <c r="D51" s="18"/>
    </row>
    <row r="53" spans="1:7" x14ac:dyDescent="0.25">
      <c r="C53" s="19" t="s">
        <v>86</v>
      </c>
      <c r="D53" s="14">
        <v>4.1399999999999997</v>
      </c>
      <c r="E53" t="s">
        <v>21</v>
      </c>
    </row>
    <row r="54" spans="1:7" x14ac:dyDescent="0.25">
      <c r="C54" s="19" t="s">
        <v>87</v>
      </c>
      <c r="D54" s="14">
        <v>3.75</v>
      </c>
      <c r="E54" t="s">
        <v>21</v>
      </c>
    </row>
    <row r="55" spans="1:7" x14ac:dyDescent="0.25">
      <c r="C55" s="19" t="s">
        <v>88</v>
      </c>
      <c r="D55" s="14">
        <v>3.03</v>
      </c>
      <c r="E55" t="s">
        <v>21</v>
      </c>
    </row>
    <row r="56" spans="1:7" x14ac:dyDescent="0.25">
      <c r="C56" s="19" t="s">
        <v>89</v>
      </c>
      <c r="D56" s="14">
        <v>3</v>
      </c>
      <c r="E56" t="s">
        <v>21</v>
      </c>
    </row>
    <row r="57" spans="1:7" x14ac:dyDescent="0.25">
      <c r="C57" s="23" t="s">
        <v>38</v>
      </c>
      <c r="D57" s="24">
        <f>D37</f>
        <v>33.770000000000003</v>
      </c>
      <c r="E57" s="25" t="s">
        <v>21</v>
      </c>
    </row>
    <row r="58" spans="1:7" x14ac:dyDescent="0.25">
      <c r="C58" s="19" t="s">
        <v>85</v>
      </c>
      <c r="D58" s="32">
        <f>(D53*D54+D55*D56)*D57</f>
        <v>831.24855000000002</v>
      </c>
      <c r="E58" t="s">
        <v>30</v>
      </c>
    </row>
    <row r="59" spans="1:7" x14ac:dyDescent="0.25">
      <c r="D59" s="11"/>
    </row>
    <row r="60" spans="1:7" x14ac:dyDescent="0.25">
      <c r="D60" s="9" t="s">
        <v>25</v>
      </c>
      <c r="E60" s="12">
        <f>ROUNDUP(D58/27,0)</f>
        <v>31</v>
      </c>
      <c r="F60" s="13" t="s">
        <v>23</v>
      </c>
    </row>
    <row r="61" spans="1:7" x14ac:dyDescent="0.25">
      <c r="E61" s="9"/>
      <c r="F61" s="12"/>
      <c r="G61" s="13"/>
    </row>
    <row r="62" spans="1:7" x14ac:dyDescent="0.25">
      <c r="A62" s="21" t="str">
        <f>"ITEM "&amp;AutoTable!B14&amp;" - "&amp;AutoTable!G14</f>
        <v>ITEM 512 - SEALING OF CONCRETE SURFACES (NON-EPOXY)</v>
      </c>
    </row>
    <row r="63" spans="1:7" x14ac:dyDescent="0.25">
      <c r="A63" s="21"/>
    </row>
    <row r="64" spans="1:7" x14ac:dyDescent="0.25">
      <c r="A64" s="21"/>
      <c r="C64" s="19" t="s">
        <v>40</v>
      </c>
      <c r="D64" s="14">
        <v>6.15</v>
      </c>
      <c r="E64" t="s">
        <v>21</v>
      </c>
      <c r="F64" t="s">
        <v>92</v>
      </c>
    </row>
    <row r="65" spans="1:6" x14ac:dyDescent="0.25">
      <c r="A65" s="21"/>
      <c r="C65" s="19" t="s">
        <v>28</v>
      </c>
      <c r="D65" s="18">
        <f>D37</f>
        <v>33.770000000000003</v>
      </c>
      <c r="E65" t="s">
        <v>21</v>
      </c>
    </row>
    <row r="66" spans="1:6" x14ac:dyDescent="0.25">
      <c r="A66" s="21"/>
    </row>
    <row r="67" spans="1:6" x14ac:dyDescent="0.25">
      <c r="A67" s="21"/>
      <c r="D67" s="9" t="s">
        <v>25</v>
      </c>
      <c r="E67" s="12">
        <f>ROUNDUP((D64*D65)/9,0)</f>
        <v>24</v>
      </c>
      <c r="F67" s="13" t="s">
        <v>31</v>
      </c>
    </row>
    <row r="68" spans="1:6" x14ac:dyDescent="0.25">
      <c r="A68" s="21"/>
      <c r="D68" s="9"/>
      <c r="E68" s="12"/>
      <c r="F68" s="13"/>
    </row>
    <row r="69" spans="1:6" x14ac:dyDescent="0.25">
      <c r="A69" s="21"/>
      <c r="D69" s="9"/>
      <c r="E69" s="12"/>
      <c r="F69" s="13"/>
    </row>
    <row r="70" spans="1:6" x14ac:dyDescent="0.25">
      <c r="A70" s="21" t="str">
        <f>"ITEM "&amp;AutoTable!B15&amp;" - "&amp;AutoTable!G15</f>
        <v>ITEM 512 - SEALING OF CONCRETE SURFACES (EPOXY-URETHANE)</v>
      </c>
    </row>
    <row r="71" spans="1:6" x14ac:dyDescent="0.25">
      <c r="A71" s="21"/>
    </row>
    <row r="72" spans="1:6" x14ac:dyDescent="0.25">
      <c r="A72" s="21"/>
      <c r="C72" s="19" t="s">
        <v>35</v>
      </c>
      <c r="D72" s="14">
        <v>668.2</v>
      </c>
      <c r="E72" t="s">
        <v>27</v>
      </c>
      <c r="F72" t="s">
        <v>91</v>
      </c>
    </row>
    <row r="73" spans="1:6" x14ac:dyDescent="0.25">
      <c r="A73" s="21"/>
    </row>
    <row r="74" spans="1:6" x14ac:dyDescent="0.25">
      <c r="A74" s="21"/>
      <c r="D74" s="9" t="s">
        <v>25</v>
      </c>
      <c r="E74" s="12">
        <f>ROUNDUP((D72)/9,0)</f>
        <v>75</v>
      </c>
      <c r="F74" s="13" t="s">
        <v>31</v>
      </c>
    </row>
    <row r="75" spans="1:6" x14ac:dyDescent="0.25">
      <c r="A75" s="21"/>
      <c r="D75" s="9"/>
      <c r="E75" s="12"/>
      <c r="F75" s="13"/>
    </row>
    <row r="76" spans="1:6" x14ac:dyDescent="0.25">
      <c r="A76" s="21" t="str">
        <f>"ITEM "&amp;AutoTable!B16&amp;" - "&amp;AutoTable!G16</f>
        <v>ITEM 512 - TYPE 2 WATERPROOFING</v>
      </c>
      <c r="D76" s="9"/>
      <c r="E76" s="12"/>
      <c r="F76" s="13"/>
    </row>
    <row r="77" spans="1:6" x14ac:dyDescent="0.25">
      <c r="A77" s="21"/>
      <c r="D77" s="9"/>
      <c r="E77" s="12"/>
      <c r="F77" s="13"/>
    </row>
    <row r="78" spans="1:6" x14ac:dyDescent="0.25">
      <c r="A78" t="s">
        <v>93</v>
      </c>
      <c r="D78" s="9"/>
      <c r="E78" s="12"/>
      <c r="F78" s="13"/>
    </row>
    <row r="79" spans="1:6" x14ac:dyDescent="0.25">
      <c r="A79" s="21"/>
      <c r="C79" s="19" t="s">
        <v>38</v>
      </c>
      <c r="D79" s="18">
        <f>D37</f>
        <v>33.770000000000003</v>
      </c>
      <c r="E79" t="s">
        <v>21</v>
      </c>
    </row>
    <row r="80" spans="1:6" x14ac:dyDescent="0.25">
      <c r="A80" s="21"/>
      <c r="C80" s="19" t="s">
        <v>51</v>
      </c>
      <c r="D80" s="14">
        <v>2</v>
      </c>
      <c r="E80" t="s">
        <v>21</v>
      </c>
    </row>
    <row r="81" spans="1:6" x14ac:dyDescent="0.25">
      <c r="A81" s="21"/>
      <c r="C81" s="19" t="s">
        <v>45</v>
      </c>
      <c r="D81" s="14">
        <v>2.5</v>
      </c>
      <c r="E81" t="s">
        <v>21</v>
      </c>
    </row>
    <row r="82" spans="1:6" x14ac:dyDescent="0.25">
      <c r="A82" s="21"/>
      <c r="E82" s="18"/>
      <c r="F82" s="13"/>
    </row>
    <row r="83" spans="1:6" x14ac:dyDescent="0.25">
      <c r="A83" t="s">
        <v>94</v>
      </c>
      <c r="E83" s="18"/>
      <c r="F83" s="13"/>
    </row>
    <row r="84" spans="1:6" x14ac:dyDescent="0.25">
      <c r="A84" s="21"/>
      <c r="C84" s="19" t="s">
        <v>38</v>
      </c>
      <c r="D84" s="14">
        <f>6.6+3+0.74</f>
        <v>10.34</v>
      </c>
      <c r="E84" t="s">
        <v>21</v>
      </c>
      <c r="F84" t="s">
        <v>96</v>
      </c>
    </row>
    <row r="85" spans="1:6" x14ac:dyDescent="0.25">
      <c r="A85" s="21"/>
      <c r="C85" s="19" t="s">
        <v>51</v>
      </c>
      <c r="D85" s="14">
        <v>3</v>
      </c>
      <c r="E85" t="s">
        <v>21</v>
      </c>
    </row>
    <row r="86" spans="1:6" x14ac:dyDescent="0.25">
      <c r="A86" s="21"/>
      <c r="E86" s="18"/>
      <c r="F86" s="13"/>
    </row>
    <row r="87" spans="1:6" x14ac:dyDescent="0.25">
      <c r="A87" t="s">
        <v>95</v>
      </c>
      <c r="E87" s="18"/>
      <c r="F87" s="13"/>
    </row>
    <row r="88" spans="1:6" x14ac:dyDescent="0.25">
      <c r="A88" s="21"/>
      <c r="C88" s="19" t="s">
        <v>38</v>
      </c>
      <c r="D88" s="14">
        <v>7</v>
      </c>
      <c r="E88" t="s">
        <v>21</v>
      </c>
    </row>
    <row r="89" spans="1:6" x14ac:dyDescent="0.25">
      <c r="A89" s="21"/>
      <c r="C89" s="19" t="s">
        <v>51</v>
      </c>
      <c r="D89" s="14">
        <v>3</v>
      </c>
      <c r="E89" t="s">
        <v>21</v>
      </c>
    </row>
    <row r="90" spans="1:6" x14ac:dyDescent="0.25">
      <c r="A90" s="21"/>
      <c r="E90" s="18"/>
    </row>
    <row r="91" spans="1:6" x14ac:dyDescent="0.25">
      <c r="A91" s="21"/>
      <c r="D91" s="9" t="s">
        <v>25</v>
      </c>
      <c r="E91" s="12">
        <f>ROUNDUP((D79*(D80+D81)+D84*D85+D88*D89)/9,0)</f>
        <v>23</v>
      </c>
      <c r="F91" s="13" t="s">
        <v>31</v>
      </c>
    </row>
    <row r="93" spans="1:6" x14ac:dyDescent="0.25">
      <c r="A93" s="21" t="str">
        <f>"ITEM "&amp;AutoTable!B18&amp;" - "&amp;AutoTable!G18</f>
        <v>ITEM 516 - 1" PREFORMED EXPANSION JOINT FILLER</v>
      </c>
    </row>
    <row r="94" spans="1:6" x14ac:dyDescent="0.25">
      <c r="A94" s="21"/>
    </row>
    <row r="95" spans="1:6" x14ac:dyDescent="0.25">
      <c r="A95" t="s">
        <v>99</v>
      </c>
    </row>
    <row r="96" spans="1:6" x14ac:dyDescent="0.25">
      <c r="A96" s="21"/>
    </row>
    <row r="97" spans="1:6" x14ac:dyDescent="0.25">
      <c r="A97" s="21"/>
      <c r="C97" s="19" t="s">
        <v>41</v>
      </c>
      <c r="D97" s="18">
        <f>D36</f>
        <v>2.95</v>
      </c>
      <c r="E97" t="s">
        <v>27</v>
      </c>
    </row>
    <row r="98" spans="1:6" x14ac:dyDescent="0.25">
      <c r="A98" s="21"/>
      <c r="C98" s="19" t="s">
        <v>97</v>
      </c>
      <c r="D98" s="14">
        <f>3.07*2+3.53*1.08+0.74*2.83</f>
        <v>12.046600000000002</v>
      </c>
      <c r="E98" t="s">
        <v>27</v>
      </c>
      <c r="F98" t="s">
        <v>101</v>
      </c>
    </row>
    <row r="99" spans="1:6" x14ac:dyDescent="0.25">
      <c r="A99" s="21"/>
      <c r="C99" s="19" t="s">
        <v>98</v>
      </c>
      <c r="D99" s="14">
        <v>6.54</v>
      </c>
      <c r="E99" t="s">
        <v>27</v>
      </c>
      <c r="F99" t="s">
        <v>100</v>
      </c>
    </row>
    <row r="100" spans="1:6" x14ac:dyDescent="0.25">
      <c r="A100" s="21"/>
      <c r="D100" s="18"/>
    </row>
    <row r="101" spans="1:6" x14ac:dyDescent="0.25">
      <c r="A101" s="21"/>
      <c r="D101" s="9" t="s">
        <v>25</v>
      </c>
      <c r="E101" s="12">
        <f>ROUNDUP(D97*2+D98+D99,0)</f>
        <v>25</v>
      </c>
      <c r="F101" s="13" t="s">
        <v>27</v>
      </c>
    </row>
    <row r="102" spans="1:6" x14ac:dyDescent="0.25">
      <c r="A102" s="21"/>
      <c r="D102" s="9"/>
      <c r="E102" s="12"/>
      <c r="F102" s="13"/>
    </row>
    <row r="103" spans="1:6" x14ac:dyDescent="0.25">
      <c r="A103" s="21" t="str">
        <f>"ITEM "&amp;AutoTable!B20&amp;" - "&amp;AutoTable!G20</f>
        <v>ITEM 518 - POROUS BACKFILL WITH GEOTEXTILE FABRIC</v>
      </c>
    </row>
    <row r="104" spans="1:6" x14ac:dyDescent="0.25">
      <c r="A104" s="21"/>
      <c r="C104" t="s">
        <v>32</v>
      </c>
    </row>
    <row r="105" spans="1:6" x14ac:dyDescent="0.25">
      <c r="C105" s="19" t="s">
        <v>56</v>
      </c>
      <c r="D105" s="14">
        <v>2</v>
      </c>
      <c r="E105" t="s">
        <v>21</v>
      </c>
    </row>
    <row r="106" spans="1:6" x14ac:dyDescent="0.25">
      <c r="C106" s="19" t="s">
        <v>53</v>
      </c>
      <c r="D106" s="14">
        <v>4</v>
      </c>
      <c r="E106" t="s">
        <v>21</v>
      </c>
    </row>
    <row r="107" spans="1:6" x14ac:dyDescent="0.25">
      <c r="C107" s="19" t="s">
        <v>28</v>
      </c>
      <c r="D107" s="18">
        <f>D37</f>
        <v>33.770000000000003</v>
      </c>
      <c r="E107" t="s">
        <v>21</v>
      </c>
    </row>
    <row r="108" spans="1:6" x14ac:dyDescent="0.25">
      <c r="C108" s="19" t="s">
        <v>50</v>
      </c>
      <c r="D108" s="14">
        <f>2.25*2*4</f>
        <v>18</v>
      </c>
      <c r="E108" t="s">
        <v>30</v>
      </c>
    </row>
    <row r="109" spans="1:6" x14ac:dyDescent="0.25">
      <c r="C109" s="19"/>
    </row>
    <row r="110" spans="1:6" x14ac:dyDescent="0.25">
      <c r="C110" s="19" t="s">
        <v>109</v>
      </c>
      <c r="D110" s="14">
        <f>2*2.5+8/12*0.5</f>
        <v>5.333333333333333</v>
      </c>
      <c r="E110" t="s">
        <v>27</v>
      </c>
    </row>
    <row r="111" spans="1:6" x14ac:dyDescent="0.25">
      <c r="C111" s="19" t="s">
        <v>28</v>
      </c>
      <c r="D111" s="18">
        <f>D37</f>
        <v>33.770000000000003</v>
      </c>
      <c r="E111" t="s">
        <v>21</v>
      </c>
    </row>
    <row r="112" spans="1:6" x14ac:dyDescent="0.25">
      <c r="D112" s="11"/>
    </row>
    <row r="113" spans="1:6" x14ac:dyDescent="0.25">
      <c r="D113" s="9" t="s">
        <v>25</v>
      </c>
      <c r="E113" s="12">
        <f>ROUNDUP((D105*D106*D107+D108+D110*D111)/27,0)</f>
        <v>18</v>
      </c>
      <c r="F113" s="13" t="s">
        <v>23</v>
      </c>
    </row>
    <row r="115" spans="1:6" x14ac:dyDescent="0.25">
      <c r="A115" s="21" t="str">
        <f>"ITEM "&amp;AutoTable!B21&amp;" - "&amp;AutoTable!G21</f>
        <v>ITEM 518 - 6" PERFORATED CORRUGATED PLASTIC PIPE</v>
      </c>
    </row>
    <row r="116" spans="1:6" x14ac:dyDescent="0.25">
      <c r="A116" s="21"/>
    </row>
    <row r="117" spans="1:6" x14ac:dyDescent="0.25">
      <c r="A117" s="21"/>
      <c r="C117" s="19" t="s">
        <v>38</v>
      </c>
      <c r="D117" s="14">
        <v>35.43</v>
      </c>
      <c r="E117" t="s">
        <v>21</v>
      </c>
    </row>
    <row r="118" spans="1:6" x14ac:dyDescent="0.25">
      <c r="A118" s="21"/>
      <c r="C118" s="19" t="s">
        <v>48</v>
      </c>
      <c r="D118" s="20">
        <v>2</v>
      </c>
      <c r="E118" t="s">
        <v>49</v>
      </c>
    </row>
    <row r="119" spans="1:6" x14ac:dyDescent="0.25">
      <c r="A119" s="21"/>
      <c r="C119" s="11"/>
    </row>
    <row r="120" spans="1:6" x14ac:dyDescent="0.25">
      <c r="A120" s="21"/>
      <c r="D120" s="9" t="s">
        <v>25</v>
      </c>
      <c r="E120" s="12">
        <f>ROUNDUP(D117*D118,0)</f>
        <v>71</v>
      </c>
      <c r="F120" s="13" t="s">
        <v>21</v>
      </c>
    </row>
    <row r="121" spans="1:6" x14ac:dyDescent="0.25">
      <c r="A121" s="21"/>
      <c r="D121" s="9"/>
      <c r="E121" s="12"/>
      <c r="F121" s="13"/>
    </row>
    <row r="122" spans="1:6" x14ac:dyDescent="0.25">
      <c r="A122" s="21" t="str">
        <f>"ITEM "&amp;AutoTable!B23&amp;" - "&amp;AutoTable!G23</f>
        <v>ITEM 524 - DRILLED SHAFTS, 30" DIAMETER, ABOVE BEDROCK WITH QC/QA</v>
      </c>
    </row>
    <row r="123" spans="1:6" x14ac:dyDescent="0.25">
      <c r="A123" s="21"/>
    </row>
    <row r="124" spans="1:6" x14ac:dyDescent="0.25">
      <c r="A124" s="21"/>
      <c r="C124" s="19" t="s">
        <v>57</v>
      </c>
      <c r="D124" s="33">
        <v>744.8</v>
      </c>
    </row>
    <row r="125" spans="1:6" x14ac:dyDescent="0.25">
      <c r="A125" s="21"/>
      <c r="C125" s="19" t="s">
        <v>58</v>
      </c>
      <c r="D125" s="33">
        <v>722</v>
      </c>
    </row>
    <row r="126" spans="1:6" x14ac:dyDescent="0.25">
      <c r="A126" s="21"/>
      <c r="C126" s="23" t="s">
        <v>52</v>
      </c>
      <c r="D126" s="27">
        <v>1</v>
      </c>
      <c r="E126" s="25" t="s">
        <v>49</v>
      </c>
    </row>
    <row r="127" spans="1:6" x14ac:dyDescent="0.25">
      <c r="A127" s="21"/>
      <c r="C127" s="19" t="s">
        <v>42</v>
      </c>
      <c r="D127" s="18">
        <f>(D124-D125)*D126</f>
        <v>22.799999999999955</v>
      </c>
      <c r="E127" t="s">
        <v>21</v>
      </c>
    </row>
    <row r="128" spans="1:6" x14ac:dyDescent="0.25">
      <c r="A128" s="21"/>
    </row>
    <row r="129" spans="1:7" x14ac:dyDescent="0.25">
      <c r="A129" s="21"/>
      <c r="D129" s="9" t="s">
        <v>25</v>
      </c>
      <c r="E129" s="12">
        <f>ROUNDUP((D127),0)</f>
        <v>23</v>
      </c>
      <c r="F129" s="13" t="s">
        <v>21</v>
      </c>
    </row>
    <row r="130" spans="1:7" x14ac:dyDescent="0.25">
      <c r="A130" s="21"/>
    </row>
    <row r="131" spans="1:7" x14ac:dyDescent="0.25">
      <c r="A131" s="21" t="str">
        <f>"ITEM "&amp;AutoTable!B24&amp;" - "&amp;AutoTable!G24</f>
        <v>ITEM 524 - DRILLED SHAFTS, 42" DIAMETER, ABOVE BEDROCK WITH QC/QA, AS PER PLAN</v>
      </c>
    </row>
    <row r="132" spans="1:7" x14ac:dyDescent="0.25">
      <c r="A132" s="21"/>
    </row>
    <row r="133" spans="1:7" x14ac:dyDescent="0.25">
      <c r="A133" s="21"/>
      <c r="C133" s="19" t="s">
        <v>57</v>
      </c>
      <c r="D133" s="33">
        <v>744.8</v>
      </c>
    </row>
    <row r="134" spans="1:7" x14ac:dyDescent="0.25">
      <c r="A134" s="21"/>
      <c r="C134" s="19" t="s">
        <v>58</v>
      </c>
      <c r="D134" s="33">
        <v>697</v>
      </c>
    </row>
    <row r="135" spans="1:7" x14ac:dyDescent="0.25">
      <c r="A135" s="21"/>
      <c r="C135" s="23" t="s">
        <v>52</v>
      </c>
      <c r="D135" s="27">
        <v>9</v>
      </c>
      <c r="E135" s="25" t="s">
        <v>49</v>
      </c>
    </row>
    <row r="136" spans="1:7" x14ac:dyDescent="0.25">
      <c r="A136" s="21"/>
      <c r="C136" s="19" t="s">
        <v>42</v>
      </c>
      <c r="D136" s="18">
        <f>(D133-D134)*D135</f>
        <v>430.19999999999959</v>
      </c>
      <c r="E136" t="s">
        <v>21</v>
      </c>
    </row>
    <row r="137" spans="1:7" x14ac:dyDescent="0.25">
      <c r="A137" s="21"/>
    </row>
    <row r="138" spans="1:7" x14ac:dyDescent="0.25">
      <c r="A138" s="21"/>
      <c r="D138" s="9" t="s">
        <v>25</v>
      </c>
      <c r="E138" s="12">
        <f>ROUNDUP((D136),0)</f>
        <v>431</v>
      </c>
      <c r="F138" s="13" t="s">
        <v>21</v>
      </c>
    </row>
    <row r="139" spans="1:7" x14ac:dyDescent="0.25">
      <c r="A139" s="21"/>
      <c r="D139" s="9"/>
      <c r="E139" s="12"/>
      <c r="F139" s="13"/>
    </row>
    <row r="140" spans="1:7" x14ac:dyDescent="0.25">
      <c r="A140" s="21" t="str">
        <f>"ITEM "&amp;AutoTable!B26&amp;" - "&amp;AutoTable!G26</f>
        <v>ITEM SPECIAL - STRUCTURES: PRECAST FACADE PANELS</v>
      </c>
    </row>
    <row r="142" spans="1:7" x14ac:dyDescent="0.25">
      <c r="C142" s="19" t="s">
        <v>36</v>
      </c>
      <c r="D142" s="14">
        <v>719.11</v>
      </c>
      <c r="E142" s="15" t="s">
        <v>27</v>
      </c>
      <c r="G142" s="11"/>
    </row>
    <row r="144" spans="1:7" x14ac:dyDescent="0.25">
      <c r="D144" s="9" t="s">
        <v>25</v>
      </c>
      <c r="E144" s="12">
        <f>ROUNDUP(D142,0)</f>
        <v>720</v>
      </c>
      <c r="F144" s="13" t="s">
        <v>27</v>
      </c>
    </row>
    <row r="146" spans="1:7" x14ac:dyDescent="0.25">
      <c r="A146" s="21" t="str">
        <f>"ITEM "&amp;AutoTable!B28&amp;" - "&amp;AutoTable!G28</f>
        <v>ITEM 607 - FENCE, MISC.: WALL MOUNTED TYPE A (W/O VANDAL MESH)</v>
      </c>
    </row>
    <row r="147" spans="1:7" x14ac:dyDescent="0.25">
      <c r="A147" s="21"/>
    </row>
    <row r="148" spans="1:7" x14ac:dyDescent="0.25">
      <c r="A148" s="21"/>
      <c r="C148" s="19" t="s">
        <v>60</v>
      </c>
      <c r="D148" s="15">
        <f>D19</f>
        <v>33.94</v>
      </c>
      <c r="E148" t="s">
        <v>21</v>
      </c>
    </row>
    <row r="149" spans="1:7" x14ac:dyDescent="0.25">
      <c r="A149" s="21"/>
      <c r="C149" s="19" t="s">
        <v>59</v>
      </c>
      <c r="D149" s="28">
        <v>4.7300000000000004</v>
      </c>
      <c r="E149" t="s">
        <v>21</v>
      </c>
      <c r="F149" t="s">
        <v>103</v>
      </c>
    </row>
    <row r="150" spans="1:7" x14ac:dyDescent="0.25">
      <c r="A150" s="21"/>
    </row>
    <row r="151" spans="1:7" x14ac:dyDescent="0.25">
      <c r="A151" s="21"/>
      <c r="D151" s="9" t="s">
        <v>25</v>
      </c>
      <c r="E151" s="12">
        <f>ROUNDUP((D148+D149),0)</f>
        <v>39</v>
      </c>
      <c r="F151" s="13" t="s">
        <v>21</v>
      </c>
    </row>
    <row r="153" spans="1:7" x14ac:dyDescent="0.25">
      <c r="A153" s="21" t="str">
        <f>"ITEM "&amp;AutoTable!B30&amp;" - "&amp;AutoTable!G30</f>
        <v>ITEM 894 - THERMAL INTEGRITY PROFILING (TIP) TEST</v>
      </c>
    </row>
    <row r="155" spans="1:7" x14ac:dyDescent="0.25">
      <c r="C155" s="19"/>
      <c r="D155" s="14">
        <v>1</v>
      </c>
      <c r="E155" s="15" t="s">
        <v>113</v>
      </c>
      <c r="G155" s="11"/>
    </row>
    <row r="157" spans="1:7" x14ac:dyDescent="0.25">
      <c r="D157" s="9" t="s">
        <v>25</v>
      </c>
      <c r="E157" s="12">
        <f>ROUNDUP(D155,0)</f>
        <v>1</v>
      </c>
      <c r="F157" s="13" t="s">
        <v>113</v>
      </c>
    </row>
  </sheetData>
  <mergeCells count="1">
    <mergeCell ref="B7:C7"/>
  </mergeCells>
  <printOptions horizontalCentered="1"/>
  <pageMargins left="0.7" right="0.7" top="0.75" bottom="0.75" header="0.3" footer="0.3"/>
  <pageSetup scale="83" fitToHeight="3" orientation="portrait" horizontalDpi="1200" verticalDpi="1200" r:id="rId1"/>
  <rowBreaks count="2" manualBreakCount="2">
    <brk id="49" max="9" man="1"/>
    <brk id="10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30"/>
  <sheetViews>
    <sheetView tabSelected="1" workbookViewId="0">
      <selection activeCell="B2" sqref="B2:H30"/>
    </sheetView>
  </sheetViews>
  <sheetFormatPr defaultColWidth="8.85546875" defaultRowHeight="12.75" x14ac:dyDescent="0.25"/>
  <cols>
    <col min="1" max="1" width="2.140625" style="29" customWidth="1"/>
    <col min="2" max="2" width="9.28515625" style="29" customWidth="1"/>
    <col min="3" max="3" width="10.7109375" style="29" customWidth="1"/>
    <col min="4" max="4" width="9.28515625" style="29" customWidth="1"/>
    <col min="5" max="5" width="17.28515625" style="29" customWidth="1"/>
    <col min="6" max="6" width="9.28515625" style="29" customWidth="1"/>
    <col min="7" max="7" width="80" style="30" customWidth="1"/>
    <col min="8" max="8" width="12.7109375" style="29" customWidth="1"/>
    <col min="9" max="10" width="8.85546875" style="29"/>
    <col min="11" max="11" width="12.85546875" style="29" bestFit="1" customWidth="1"/>
    <col min="12" max="16384" width="8.85546875" style="29"/>
  </cols>
  <sheetData>
    <row r="1" spans="2:11" ht="13.5" thickBot="1" x14ac:dyDescent="0.3"/>
    <row r="2" spans="2:11" ht="20.100000000000001" customHeight="1" thickTop="1" x14ac:dyDescent="0.25">
      <c r="B2" s="56" t="s">
        <v>0</v>
      </c>
      <c r="C2" s="58" t="s">
        <v>1</v>
      </c>
      <c r="D2" s="58" t="s">
        <v>2</v>
      </c>
      <c r="E2" s="52" t="s">
        <v>54</v>
      </c>
      <c r="F2" s="58" t="s">
        <v>3</v>
      </c>
      <c r="G2" s="58" t="s">
        <v>4</v>
      </c>
      <c r="H2" s="54" t="str">
        <f>"REFERENCE SHEET NO.
___ / "&amp;'[2]CADD Sheets'!$A$4101</f>
        <v>REFERENCE SHEET NO.
___ / 855</v>
      </c>
    </row>
    <row r="3" spans="2:11" ht="20.100000000000001" customHeight="1" thickBot="1" x14ac:dyDescent="0.3">
      <c r="B3" s="57"/>
      <c r="C3" s="59"/>
      <c r="D3" s="59"/>
      <c r="E3" s="38" t="s">
        <v>115</v>
      </c>
      <c r="F3" s="59"/>
      <c r="G3" s="59"/>
      <c r="H3" s="55"/>
      <c r="J3" s="37" t="s">
        <v>107</v>
      </c>
      <c r="K3" s="37" t="s">
        <v>54</v>
      </c>
    </row>
    <row r="4" spans="2:11" x14ac:dyDescent="0.25">
      <c r="B4" s="40"/>
      <c r="C4" s="41"/>
      <c r="D4" s="41"/>
      <c r="E4" s="41"/>
      <c r="F4" s="41"/>
      <c r="G4" s="41"/>
      <c r="H4" s="42"/>
      <c r="J4" s="36">
        <v>0.6</v>
      </c>
      <c r="K4" s="1" t="str">
        <f>E3</f>
        <v>01/IMS/04</v>
      </c>
    </row>
    <row r="5" spans="2:11" x14ac:dyDescent="0.25">
      <c r="B5" s="43">
        <v>503</v>
      </c>
      <c r="C5" s="39">
        <v>11100</v>
      </c>
      <c r="D5" s="39" t="s">
        <v>64</v>
      </c>
      <c r="E5" s="39" t="s">
        <v>64</v>
      </c>
      <c r="F5" s="39" t="s">
        <v>64</v>
      </c>
      <c r="G5" s="2" t="s">
        <v>63</v>
      </c>
      <c r="H5" s="44"/>
      <c r="J5" s="36">
        <v>0.4</v>
      </c>
      <c r="K5" s="1" t="e">
        <f>#REF!</f>
        <v>#REF!</v>
      </c>
    </row>
    <row r="6" spans="2:11" x14ac:dyDescent="0.25">
      <c r="B6" s="45">
        <v>503</v>
      </c>
      <c r="C6" s="1">
        <v>21101</v>
      </c>
      <c r="D6" s="3">
        <f>'4W18'!E26</f>
        <v>125</v>
      </c>
      <c r="E6" s="3">
        <f>D6</f>
        <v>125</v>
      </c>
      <c r="F6" s="1" t="s">
        <v>5</v>
      </c>
      <c r="G6" s="2" t="s">
        <v>62</v>
      </c>
      <c r="H6" s="46">
        <f>'[2]CADD Sheets'!$A$1888</f>
        <v>301</v>
      </c>
    </row>
    <row r="7" spans="2:11" x14ac:dyDescent="0.25">
      <c r="B7" s="45"/>
      <c r="C7" s="1"/>
      <c r="D7" s="3"/>
      <c r="E7" s="3"/>
      <c r="F7" s="1"/>
      <c r="G7" s="2"/>
      <c r="H7" s="46"/>
    </row>
    <row r="8" spans="2:11" x14ac:dyDescent="0.25">
      <c r="B8" s="45">
        <v>509</v>
      </c>
      <c r="C8" s="1">
        <v>10000</v>
      </c>
      <c r="D8" s="3">
        <f>'4W18'!E32</f>
        <v>3256</v>
      </c>
      <c r="E8" s="3">
        <f>D8</f>
        <v>3256</v>
      </c>
      <c r="F8" s="1" t="s">
        <v>7</v>
      </c>
      <c r="G8" s="2" t="s">
        <v>8</v>
      </c>
      <c r="H8" s="46"/>
    </row>
    <row r="9" spans="2:11" x14ac:dyDescent="0.25">
      <c r="B9" s="45"/>
      <c r="C9" s="1"/>
      <c r="D9" s="3"/>
      <c r="E9" s="3"/>
      <c r="F9" s="1"/>
      <c r="G9" s="2"/>
      <c r="H9" s="46"/>
    </row>
    <row r="10" spans="2:11" x14ac:dyDescent="0.25">
      <c r="B10" s="45">
        <v>511</v>
      </c>
      <c r="C10" s="1">
        <v>34451</v>
      </c>
      <c r="D10" s="3">
        <f>'4W18'!E40</f>
        <v>4</v>
      </c>
      <c r="E10" s="3">
        <f t="shared" ref="E10:E12" si="0">D10</f>
        <v>4</v>
      </c>
      <c r="F10" s="1" t="s">
        <v>5</v>
      </c>
      <c r="G10" s="2" t="s">
        <v>43</v>
      </c>
      <c r="H10" s="46">
        <f>'[2]CADD Sheets'!$A$3626</f>
        <v>693</v>
      </c>
    </row>
    <row r="11" spans="2:11" x14ac:dyDescent="0.25">
      <c r="B11" s="45">
        <v>511</v>
      </c>
      <c r="C11" s="1">
        <v>46512</v>
      </c>
      <c r="D11" s="3">
        <f>'4W18'!E49</f>
        <v>8</v>
      </c>
      <c r="E11" s="3">
        <f t="shared" si="0"/>
        <v>8</v>
      </c>
      <c r="F11" s="1" t="s">
        <v>5</v>
      </c>
      <c r="G11" s="2" t="s">
        <v>13</v>
      </c>
      <c r="H11" s="46"/>
    </row>
    <row r="12" spans="2:11" x14ac:dyDescent="0.25">
      <c r="B12" s="45">
        <v>511</v>
      </c>
      <c r="C12" s="1">
        <v>53010</v>
      </c>
      <c r="D12" s="3">
        <f>'4W18'!E60</f>
        <v>31</v>
      </c>
      <c r="E12" s="3">
        <f t="shared" si="0"/>
        <v>31</v>
      </c>
      <c r="F12" s="1" t="s">
        <v>5</v>
      </c>
      <c r="G12" s="2" t="s">
        <v>61</v>
      </c>
      <c r="H12" s="46">
        <f>'[2]CADD Sheets'!$A$1894</f>
        <v>304</v>
      </c>
    </row>
    <row r="13" spans="2:11" x14ac:dyDescent="0.25">
      <c r="B13" s="45"/>
      <c r="C13" s="1"/>
      <c r="D13" s="3"/>
      <c r="E13" s="3"/>
      <c r="F13" s="1"/>
      <c r="G13" s="2"/>
      <c r="H13" s="46"/>
    </row>
    <row r="14" spans="2:11" x14ac:dyDescent="0.25">
      <c r="B14" s="45">
        <v>512</v>
      </c>
      <c r="C14" s="1">
        <v>10050</v>
      </c>
      <c r="D14" s="3">
        <f>'4W18'!E67</f>
        <v>24</v>
      </c>
      <c r="E14" s="3">
        <f t="shared" ref="E14:E16" si="1">D14</f>
        <v>24</v>
      </c>
      <c r="F14" s="1" t="s">
        <v>9</v>
      </c>
      <c r="G14" s="2" t="s">
        <v>104</v>
      </c>
      <c r="H14" s="46">
        <f>'[2]CADD Sheets'!$A$3626</f>
        <v>693</v>
      </c>
    </row>
    <row r="15" spans="2:11" x14ac:dyDescent="0.25">
      <c r="B15" s="45">
        <v>512</v>
      </c>
      <c r="C15" s="1">
        <v>10100</v>
      </c>
      <c r="D15" s="3">
        <f>'4W18'!E74</f>
        <v>75</v>
      </c>
      <c r="E15" s="3">
        <f t="shared" si="1"/>
        <v>75</v>
      </c>
      <c r="F15" s="1" t="s">
        <v>9</v>
      </c>
      <c r="G15" s="2" t="s">
        <v>105</v>
      </c>
      <c r="H15" s="46">
        <f>'[2]CADD Sheets'!$A$3626</f>
        <v>693</v>
      </c>
    </row>
    <row r="16" spans="2:11" x14ac:dyDescent="0.25">
      <c r="B16" s="45">
        <v>512</v>
      </c>
      <c r="C16" s="1">
        <v>33000</v>
      </c>
      <c r="D16" s="3">
        <f>'4W18'!E91</f>
        <v>23</v>
      </c>
      <c r="E16" s="3">
        <f t="shared" si="1"/>
        <v>23</v>
      </c>
      <c r="F16" s="1" t="s">
        <v>9</v>
      </c>
      <c r="G16" s="2" t="s">
        <v>46</v>
      </c>
      <c r="H16" s="46"/>
    </row>
    <row r="17" spans="2:8" x14ac:dyDescent="0.25">
      <c r="B17" s="45"/>
      <c r="C17" s="1"/>
      <c r="D17" s="3"/>
      <c r="E17" s="3"/>
      <c r="F17" s="1"/>
      <c r="G17" s="2"/>
      <c r="H17" s="46"/>
    </row>
    <row r="18" spans="2:8" x14ac:dyDescent="0.25">
      <c r="B18" s="45">
        <v>516</v>
      </c>
      <c r="C18" s="1">
        <v>13600</v>
      </c>
      <c r="D18" s="3">
        <f>'4W18'!E101</f>
        <v>25</v>
      </c>
      <c r="E18" s="3">
        <f>D18</f>
        <v>25</v>
      </c>
      <c r="F18" s="1" t="s">
        <v>6</v>
      </c>
      <c r="G18" s="2" t="s">
        <v>14</v>
      </c>
      <c r="H18" s="46"/>
    </row>
    <row r="19" spans="2:8" x14ac:dyDescent="0.25">
      <c r="B19" s="45"/>
      <c r="C19" s="1"/>
      <c r="D19" s="3"/>
      <c r="E19" s="3"/>
      <c r="F19" s="1"/>
      <c r="G19" s="2"/>
      <c r="H19" s="46"/>
    </row>
    <row r="20" spans="2:8" x14ac:dyDescent="0.25">
      <c r="B20" s="45">
        <v>518</v>
      </c>
      <c r="C20" s="1">
        <v>21200</v>
      </c>
      <c r="D20" s="3">
        <f>'4W18'!E113</f>
        <v>18</v>
      </c>
      <c r="E20" s="3">
        <f t="shared" ref="E20:E21" si="2">D20</f>
        <v>18</v>
      </c>
      <c r="F20" s="1" t="s">
        <v>5</v>
      </c>
      <c r="G20" s="2" t="s">
        <v>12</v>
      </c>
      <c r="H20" s="46"/>
    </row>
    <row r="21" spans="2:8" x14ac:dyDescent="0.25">
      <c r="B21" s="45">
        <v>518</v>
      </c>
      <c r="C21" s="1">
        <v>40000</v>
      </c>
      <c r="D21" s="3">
        <f>'4W18'!E120</f>
        <v>71</v>
      </c>
      <c r="E21" s="3">
        <f t="shared" si="2"/>
        <v>71</v>
      </c>
      <c r="F21" s="1" t="s">
        <v>10</v>
      </c>
      <c r="G21" s="2" t="s">
        <v>15</v>
      </c>
      <c r="H21" s="46"/>
    </row>
    <row r="22" spans="2:8" x14ac:dyDescent="0.25">
      <c r="B22" s="45"/>
      <c r="C22" s="1"/>
      <c r="D22" s="3"/>
      <c r="E22" s="3"/>
      <c r="F22" s="1"/>
      <c r="G22" s="2"/>
      <c r="H22" s="46"/>
    </row>
    <row r="23" spans="2:8" x14ac:dyDescent="0.25">
      <c r="B23" s="45">
        <v>524</v>
      </c>
      <c r="C23" s="1">
        <v>95422</v>
      </c>
      <c r="D23" s="3">
        <f>'4W18'!E129</f>
        <v>23</v>
      </c>
      <c r="E23" s="3">
        <f t="shared" ref="E23:E24" si="3">D23</f>
        <v>23</v>
      </c>
      <c r="F23" s="1" t="s">
        <v>10</v>
      </c>
      <c r="G23" s="2" t="s">
        <v>106</v>
      </c>
      <c r="H23" s="46"/>
    </row>
    <row r="24" spans="2:8" x14ac:dyDescent="0.25">
      <c r="B24" s="45">
        <v>524</v>
      </c>
      <c r="C24" s="1">
        <v>95443</v>
      </c>
      <c r="D24" s="3">
        <f>'4W18'!E138</f>
        <v>431</v>
      </c>
      <c r="E24" s="3">
        <f t="shared" si="3"/>
        <v>431</v>
      </c>
      <c r="F24" s="1" t="s">
        <v>10</v>
      </c>
      <c r="G24" s="2" t="s">
        <v>47</v>
      </c>
      <c r="H24" s="46">
        <f>'[2]CADD Sheets'!$A$1894</f>
        <v>304</v>
      </c>
    </row>
    <row r="25" spans="2:8" x14ac:dyDescent="0.25">
      <c r="B25" s="45"/>
      <c r="C25" s="1"/>
      <c r="D25" s="3"/>
      <c r="E25" s="3"/>
      <c r="F25" s="1"/>
      <c r="G25" s="2"/>
      <c r="H25" s="46"/>
    </row>
    <row r="26" spans="2:8" x14ac:dyDescent="0.25">
      <c r="B26" s="45" t="s">
        <v>11</v>
      </c>
      <c r="C26" s="1">
        <v>53000600</v>
      </c>
      <c r="D26" s="3">
        <f>'4W18'!E144</f>
        <v>720</v>
      </c>
      <c r="E26" s="3">
        <f>D26</f>
        <v>720</v>
      </c>
      <c r="F26" s="1" t="s">
        <v>6</v>
      </c>
      <c r="G26" s="2" t="s">
        <v>37</v>
      </c>
      <c r="H26" s="46">
        <f>'[2]CADD Sheets'!$A$1896</f>
        <v>305</v>
      </c>
    </row>
    <row r="27" spans="2:8" x14ac:dyDescent="0.25">
      <c r="B27" s="45"/>
      <c r="C27" s="1"/>
      <c r="D27" s="3"/>
      <c r="E27" s="3"/>
      <c r="F27" s="1"/>
      <c r="G27" s="2"/>
      <c r="H27" s="46"/>
    </row>
    <row r="28" spans="2:8" x14ac:dyDescent="0.25">
      <c r="B28" s="45">
        <v>607</v>
      </c>
      <c r="C28" s="1">
        <v>98000</v>
      </c>
      <c r="D28" s="3">
        <f>'4W18'!E151</f>
        <v>39</v>
      </c>
      <c r="E28" s="3">
        <f>D28</f>
        <v>39</v>
      </c>
      <c r="F28" s="1" t="s">
        <v>10</v>
      </c>
      <c r="G28" s="2" t="s">
        <v>102</v>
      </c>
      <c r="H28" s="46">
        <f>'[2]CADD Sheets'!$A$3626</f>
        <v>693</v>
      </c>
    </row>
    <row r="29" spans="2:8" x14ac:dyDescent="0.25">
      <c r="B29" s="45"/>
      <c r="C29" s="1"/>
      <c r="D29" s="1"/>
      <c r="E29" s="1"/>
      <c r="F29" s="1"/>
      <c r="G29" s="2"/>
      <c r="H29" s="46"/>
    </row>
    <row r="30" spans="2:8" ht="13.5" thickBot="1" x14ac:dyDescent="0.3">
      <c r="B30" s="47">
        <v>894</v>
      </c>
      <c r="C30" s="48">
        <v>10000</v>
      </c>
      <c r="D30" s="50">
        <f>'4W18'!E157</f>
        <v>1</v>
      </c>
      <c r="E30" s="50">
        <f>D30</f>
        <v>1</v>
      </c>
      <c r="F30" s="48" t="s">
        <v>111</v>
      </c>
      <c r="G30" s="51" t="s">
        <v>112</v>
      </c>
      <c r="H30" s="49"/>
    </row>
  </sheetData>
  <sortState xmlns:xlrd2="http://schemas.microsoft.com/office/spreadsheetml/2017/richdata2" ref="B96:G102">
    <sortCondition ref="B96"/>
  </sortState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scale="61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4W18</vt:lpstr>
      <vt:lpstr>AutoTable</vt:lpstr>
      <vt:lpstr>'4W18'!Print_Area</vt:lpstr>
    </vt:vector>
  </TitlesOfParts>
  <Company>GPD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mjurcak</dc:creator>
  <cp:lastModifiedBy>Jurcak, Michael</cp:lastModifiedBy>
  <cp:lastPrinted>2020-04-05T17:27:25Z</cp:lastPrinted>
  <dcterms:created xsi:type="dcterms:W3CDTF">2016-05-31T17:35:26Z</dcterms:created>
  <dcterms:modified xsi:type="dcterms:W3CDTF">2023-04-19T16:29:00Z</dcterms:modified>
</cp:coreProperties>
</file>